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0" yWindow="1740" windowWidth="20060" windowHeight="12680" activeTab="0"/>
  </bookViews>
  <sheets>
    <sheet name="Sulfite Calculator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<sst xmlns="http://schemas.openxmlformats.org/spreadsheetml/2006/main" count="24" uniqueCount="20">
  <si>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Sulfite powder</t>
  </si>
  <si>
    <t>10% sulfite solution</t>
  </si>
  <si>
    <t>Information on wine to be sulfited:</t>
  </si>
  <si>
    <t>pH of wine:</t>
  </si>
  <si>
    <t>Current level of free SO2:</t>
  </si>
  <si>
    <t>Desired level of free SO2:</t>
  </si>
  <si>
    <t>Volume of wine to be corrected:</t>
  </si>
  <si>
    <t>Calculated amount of sulfite to be added:</t>
  </si>
  <si>
    <t>ppm</t>
  </si>
  <si>
    <t>© Daniel Pambianchi, 2001</t>
  </si>
  <si>
    <t xml:space="preserve">Preferred method of sulfite addition &gt;&gt; </t>
  </si>
  <si>
    <t>Campden tablets</t>
  </si>
  <si>
    <t>Red</t>
  </si>
  <si>
    <t>White</t>
  </si>
  <si>
    <t>Type of wine:</t>
  </si>
  <si>
    <t>liters</t>
  </si>
  <si>
    <t>gallons</t>
  </si>
  <si>
    <t>NOTES:</t>
  </si>
  <si>
    <t>WineMaker magazine's Sulfite Calculator</t>
  </si>
  <si>
    <t>www.winemakermag.com, version 1.0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</si>
</sst>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0.0000"/>
    <numFmt numFmtId="178" formatCode="0.0000000"/>
    <numFmt numFmtId="179" formatCode="0.000000"/>
    <numFmt numFmtId="180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color indexed="61"/>
      <name val="Arial Black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61"/>
      <name val="Arial Black"/>
      <family val="0"/>
    </font>
    <font>
      <sz val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6" fontId="0" fillId="0" borderId="0" xfId="0" applyNumberFormat="1" applyBorder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175" fontId="0" fillId="0" borderId="0" xfId="0" applyNumberFormat="1" applyBorder="1" applyAlignment="1" applyProtection="1">
      <alignment horizontal="right"/>
      <protection hidden="1"/>
    </xf>
    <xf numFmtId="1" fontId="0" fillId="0" borderId="0" xfId="0" applyNumberFormat="1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centerContinuous"/>
      <protection hidden="1"/>
    </xf>
    <xf numFmtId="0" fontId="0" fillId="0" borderId="4" xfId="0" applyBorder="1" applyAlignment="1" applyProtection="1">
      <alignment horizontal="centerContinuous"/>
      <protection hidden="1"/>
    </xf>
    <xf numFmtId="0" fontId="0" fillId="0" borderId="5" xfId="0" applyBorder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2" xfId="0" applyBorder="1" applyAlignment="1" applyProtection="1">
      <alignment horizontal="centerContinuous"/>
      <protection hidden="1"/>
    </xf>
    <xf numFmtId="0" fontId="6" fillId="0" borderId="1" xfId="0" applyFont="1" applyBorder="1" applyAlignment="1" applyProtection="1">
      <alignment horizontal="centerContinuous"/>
      <protection hidden="1"/>
    </xf>
    <xf numFmtId="0" fontId="1" fillId="0" borderId="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5" fillId="5" borderId="0" xfId="0" applyNumberFormat="1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1" fillId="6" borderId="1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6" borderId="1" xfId="0" applyFont="1" applyFill="1" applyBorder="1" applyAlignment="1" applyProtection="1">
      <alignment horizontal="left"/>
      <protection hidden="1"/>
    </xf>
    <xf numFmtId="0" fontId="0" fillId="6" borderId="0" xfId="0" applyFont="1" applyFill="1" applyBorder="1" applyAlignment="1" applyProtection="1">
      <alignment horizontal="right"/>
      <protection hidden="1"/>
    </xf>
    <xf numFmtId="0" fontId="0" fillId="6" borderId="1" xfId="0" applyFont="1" applyFill="1" applyBorder="1" applyAlignment="1" applyProtection="1">
      <alignment/>
      <protection hidden="1"/>
    </xf>
    <xf numFmtId="1" fontId="0" fillId="6" borderId="0" xfId="0" applyNumberFormat="1" applyFont="1" applyFill="1" applyBorder="1" applyAlignment="1" applyProtection="1">
      <alignment/>
      <protection hidden="1"/>
    </xf>
    <xf numFmtId="0" fontId="0" fillId="6" borderId="6" xfId="0" applyFont="1" applyFill="1" applyBorder="1" applyAlignment="1" applyProtection="1">
      <alignment/>
      <protection hidden="1"/>
    </xf>
    <xf numFmtId="0" fontId="0" fillId="6" borderId="7" xfId="0" applyFont="1" applyFill="1" applyBorder="1" applyAlignment="1" applyProtection="1">
      <alignment/>
      <protection hidden="1"/>
    </xf>
    <xf numFmtId="1" fontId="0" fillId="6" borderId="7" xfId="0" applyNumberFormat="1" applyFont="1" applyFill="1" applyBorder="1" applyAlignment="1" applyProtection="1">
      <alignment/>
      <protection hidden="1"/>
    </xf>
    <xf numFmtId="0" fontId="0" fillId="6" borderId="8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right"/>
      <protection hidden="1" locked="0"/>
    </xf>
    <xf numFmtId="0" fontId="0" fillId="3" borderId="0" xfId="0" applyFill="1" applyBorder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/>
      <protection hidden="1"/>
    </xf>
    <xf numFmtId="176" fontId="5" fillId="5" borderId="0" xfId="0" applyNumberFormat="1" applyFont="1" applyFill="1" applyBorder="1" applyAlignment="1" applyProtection="1">
      <alignment horizontal="right"/>
      <protection hidden="1"/>
    </xf>
    <xf numFmtId="176" fontId="5" fillId="5" borderId="0" xfId="0" applyNumberFormat="1" applyFont="1" applyFill="1" applyBorder="1" applyAlignment="1" applyProtection="1">
      <alignment horizontal="left"/>
      <protection hidden="1"/>
    </xf>
    <xf numFmtId="2" fontId="5" fillId="5" borderId="0" xfId="0" applyNumberFormat="1" applyFont="1" applyFill="1" applyBorder="1" applyAlignment="1" applyProtection="1">
      <alignment horizontal="right"/>
      <protection hidden="1"/>
    </xf>
    <xf numFmtId="2" fontId="0" fillId="4" borderId="0" xfId="0" applyNumberFormat="1" applyFill="1" applyBorder="1" applyAlignment="1" applyProtection="1">
      <alignment/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1" fontId="0" fillId="4" borderId="0" xfId="0" applyNumberForma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Continuous"/>
      <protection hidden="1"/>
    </xf>
    <xf numFmtId="0" fontId="0" fillId="4" borderId="1" xfId="0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0" fillId="3" borderId="1" xfId="0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4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RowColHeaders="0" tabSelected="1" workbookViewId="0" topLeftCell="A1">
      <selection activeCell="E16" sqref="E16"/>
    </sheetView>
  </sheetViews>
  <sheetFormatPr defaultColWidth="9.140625" defaultRowHeight="12.75"/>
  <cols>
    <col min="1" max="1" width="9.421875" style="11" bestFit="1" customWidth="1"/>
    <col min="2" max="2" width="17.28125" style="11" customWidth="1"/>
    <col min="3" max="3" width="9.00390625" style="11" customWidth="1"/>
    <col min="4" max="4" width="6.8515625" style="11" customWidth="1"/>
    <col min="5" max="5" width="10.140625" style="11" customWidth="1"/>
    <col min="6" max="6" width="13.8515625" style="11" customWidth="1"/>
    <col min="7" max="7" width="5.421875" style="11" customWidth="1"/>
    <col min="8" max="8" width="6.140625" style="11" customWidth="1"/>
    <col min="9" max="16384" width="9.140625" style="11" customWidth="1"/>
  </cols>
  <sheetData>
    <row r="1" spans="1:8" ht="19.5">
      <c r="A1" s="8" t="s">
        <v>18</v>
      </c>
      <c r="B1" s="9"/>
      <c r="C1" s="9"/>
      <c r="D1" s="9"/>
      <c r="E1" s="9"/>
      <c r="F1" s="9"/>
      <c r="G1" s="9"/>
      <c r="H1" s="10"/>
    </row>
    <row r="2" spans="1:8" ht="11.25" customHeight="1">
      <c r="A2" s="54" t="s">
        <v>19</v>
      </c>
      <c r="B2" s="12"/>
      <c r="C2" s="12"/>
      <c r="D2" s="12"/>
      <c r="E2" s="12"/>
      <c r="F2" s="12"/>
      <c r="G2" s="12"/>
      <c r="H2" s="13"/>
    </row>
    <row r="3" spans="1:8" ht="12">
      <c r="A3" s="14" t="s">
        <v>9</v>
      </c>
      <c r="B3" s="12"/>
      <c r="C3" s="12"/>
      <c r="D3" s="12"/>
      <c r="E3" s="12"/>
      <c r="F3" s="12"/>
      <c r="G3" s="12"/>
      <c r="H3" s="13"/>
    </row>
    <row r="4" spans="1:8" ht="30" customHeight="1">
      <c r="A4" s="1"/>
      <c r="B4" s="2"/>
      <c r="C4" s="2"/>
      <c r="D4" s="2"/>
      <c r="E4" s="2"/>
      <c r="F4" s="2"/>
      <c r="G4" s="2"/>
      <c r="H4" s="4"/>
    </row>
    <row r="5" spans="1:8" ht="12">
      <c r="A5" s="15" t="s">
        <v>10</v>
      </c>
      <c r="B5" s="2"/>
      <c r="C5" s="2"/>
      <c r="D5" s="59" t="s">
        <v>1</v>
      </c>
      <c r="E5" s="60"/>
      <c r="F5" s="16">
        <f>IF($D$5="Sulfite powder","(default method)","")</f>
      </c>
      <c r="G5" s="2"/>
      <c r="H5" s="4"/>
    </row>
    <row r="6" spans="1:10" ht="12" hidden="1">
      <c r="A6" s="1"/>
      <c r="B6" s="2" t="s">
        <v>0</v>
      </c>
      <c r="C6" s="2"/>
      <c r="D6" s="3">
        <f>IF($E$15="liters",(($D$14-$D$13)*$D$15/0.57/1000),(($D$14-$D$13)*$D$15*3.79*0.035/0.57/1000))</f>
        <v>0.6333333333333334</v>
      </c>
      <c r="E6" s="3"/>
      <c r="F6" s="2"/>
      <c r="G6" s="2" t="s">
        <v>12</v>
      </c>
      <c r="H6" s="4" t="s">
        <v>15</v>
      </c>
      <c r="J6" s="17"/>
    </row>
    <row r="7" spans="1:8" ht="12" hidden="1">
      <c r="A7" s="1"/>
      <c r="B7" s="2" t="s">
        <v>11</v>
      </c>
      <c r="C7" s="2"/>
      <c r="D7" s="5">
        <f>IF($E$15="liters",(($D$14-$D$13)*$D$15/0.57/1000/0.44),(($D$14-$D$13)*$D$15*3.79/0.57/1000/0.44))</f>
        <v>1.4393939393939397</v>
      </c>
      <c r="E7" s="6"/>
      <c r="F7" s="2"/>
      <c r="G7" s="2" t="s">
        <v>13</v>
      </c>
      <c r="H7" s="4" t="s">
        <v>16</v>
      </c>
    </row>
    <row r="8" spans="1:8" ht="12" hidden="1">
      <c r="A8" s="1"/>
      <c r="B8" s="2" t="s">
        <v>1</v>
      </c>
      <c r="C8" s="2"/>
      <c r="D8" s="7">
        <f>IF($E$15="liters",(($D$14-$D$13)*$D$15*10/0.57/1000),(($D$14-$D$13)*$D$15*3.79*10/0.57/1000))</f>
        <v>6.333333333333334</v>
      </c>
      <c r="E8" s="5"/>
      <c r="F8" s="2"/>
      <c r="G8" s="2"/>
      <c r="H8" s="4"/>
    </row>
    <row r="9" spans="1:8" ht="30" customHeight="1">
      <c r="A9" s="1"/>
      <c r="B9" s="2"/>
      <c r="C9" s="2"/>
      <c r="D9" s="2"/>
      <c r="E9" s="18"/>
      <c r="F9" s="2"/>
      <c r="G9" s="2"/>
      <c r="H9" s="4"/>
    </row>
    <row r="10" spans="1:8" ht="12">
      <c r="A10" s="19" t="s">
        <v>2</v>
      </c>
      <c r="B10" s="20"/>
      <c r="C10" s="20"/>
      <c r="D10" s="20"/>
      <c r="E10" s="20"/>
      <c r="F10" s="20"/>
      <c r="G10" s="2"/>
      <c r="H10" s="4"/>
    </row>
    <row r="11" spans="1:8" ht="12">
      <c r="A11" s="57" t="s">
        <v>14</v>
      </c>
      <c r="B11" s="58"/>
      <c r="C11" s="58"/>
      <c r="D11" s="44" t="s">
        <v>12</v>
      </c>
      <c r="E11" s="21" t="str">
        <f>IF($D$11="Red","(default type)","")</f>
        <v>(default type)</v>
      </c>
      <c r="F11" s="22"/>
      <c r="G11" s="2"/>
      <c r="H11" s="4"/>
    </row>
    <row r="12" spans="1:8" ht="12">
      <c r="A12" s="55" t="s">
        <v>3</v>
      </c>
      <c r="B12" s="56"/>
      <c r="C12" s="56"/>
      <c r="D12" s="50">
        <v>3.5</v>
      </c>
      <c r="E12" s="23"/>
      <c r="F12" s="23"/>
      <c r="G12" s="16" t="str">
        <f>IF($D$12,"(see Note 1)","")</f>
        <v>(see Note 1)</v>
      </c>
      <c r="H12" s="4"/>
    </row>
    <row r="13" spans="1:8" ht="12">
      <c r="A13" s="57" t="s">
        <v>4</v>
      </c>
      <c r="B13" s="58"/>
      <c r="C13" s="58"/>
      <c r="D13" s="51">
        <v>6</v>
      </c>
      <c r="E13" s="22" t="s">
        <v>8</v>
      </c>
      <c r="F13" s="22"/>
      <c r="G13" s="2"/>
      <c r="H13" s="4"/>
    </row>
    <row r="14" spans="1:8" ht="12">
      <c r="A14" s="55" t="s">
        <v>5</v>
      </c>
      <c r="B14" s="56"/>
      <c r="C14" s="56"/>
      <c r="D14" s="52">
        <v>25</v>
      </c>
      <c r="E14" s="23" t="s">
        <v>8</v>
      </c>
      <c r="F14" s="23"/>
      <c r="G14" s="2"/>
      <c r="H14" s="4"/>
    </row>
    <row r="15" spans="1:8" ht="12">
      <c r="A15" s="57" t="s">
        <v>6</v>
      </c>
      <c r="B15" s="58"/>
      <c r="C15" s="58"/>
      <c r="D15" s="53">
        <v>19</v>
      </c>
      <c r="E15" s="45" t="s">
        <v>15</v>
      </c>
      <c r="F15" s="21" t="str">
        <f>IF($E$15="liters","(default unit)","")</f>
        <v>(default unit)</v>
      </c>
      <c r="G15" s="2"/>
      <c r="H15" s="4"/>
    </row>
    <row r="16" spans="1:8" ht="30" customHeight="1">
      <c r="A16" s="1"/>
      <c r="B16" s="2"/>
      <c r="C16" s="2"/>
      <c r="D16" s="2"/>
      <c r="E16" s="2"/>
      <c r="F16" s="2"/>
      <c r="G16" s="2"/>
      <c r="H16" s="4"/>
    </row>
    <row r="17" spans="1:8" ht="12">
      <c r="A17" s="15" t="s">
        <v>7</v>
      </c>
      <c r="B17" s="2"/>
      <c r="C17" s="2"/>
      <c r="D17" s="2"/>
      <c r="E17" s="2"/>
      <c r="F17" s="2"/>
      <c r="G17" s="2"/>
      <c r="H17" s="4"/>
    </row>
    <row r="18" spans="1:8" ht="5.25" customHeight="1">
      <c r="A18" s="15"/>
      <c r="B18" s="2"/>
      <c r="C18" s="2"/>
      <c r="D18" s="2"/>
      <c r="E18" s="2"/>
      <c r="F18" s="2"/>
      <c r="G18" s="2"/>
      <c r="H18" s="4"/>
    </row>
    <row r="19" spans="1:8" s="27" customFormat="1" ht="12">
      <c r="A19" s="24"/>
      <c r="B19" s="25"/>
      <c r="C19" s="47">
        <f>IF((IF($E$15="liters",(($D$14-$D$13)*$D$15/0.57/1000),(($D$14-$D$13)*$D$15*0.035/0.57/1000)))&lt;&gt;0,(IF($D$5="Sulfite powder",(IF($E$15="liters",(($D$14-$D$13)*$D$15/0.57/1000),(($D$14-$D$13)*$D$15*3.79*0.035/0.57/1000))),"")),"")</f>
      </c>
      <c r="D19" s="29">
        <f>IF($C$19&lt;&gt;"",IF($E$15="liters","grams","ounces"),"")</f>
      </c>
      <c r="E19" s="48">
        <f>IF((IF($E$15="liters",(($D$14-$D$13)*$D$15/0.57/1000),(($D$14-$D$13)*$D$15*3.79*0.035/0.57/1000)))&lt;&gt;0,(IF($D$5="Sulfite powder","of sulfite powder","")),"")</f>
      </c>
      <c r="F19" s="29"/>
      <c r="G19" s="25"/>
      <c r="H19" s="26"/>
    </row>
    <row r="20" spans="1:8" ht="12">
      <c r="A20" s="1"/>
      <c r="B20" s="2"/>
      <c r="C20" s="49">
        <f>IF((IF($E$15="liters",(($D$14-$D$13)*$D$15/0.57/1000),(($D$14-$D$13)*$D$15*0.035/0.57/1000)))&lt;&gt;0,(IF($D$5="Campden tablets",CEILING((IF($E$15="liters",(($D$14-$D$13)*$D$15/0.57/1000/0.44),(($D$14-$D$13)*$D$15*3.79/0.57/1000/0.44))),0.25),"")),"")</f>
      </c>
      <c r="D20" s="28">
        <f>IF((IF($E$15="liters",(($D$14-$D$13)*$D$15/0.57/1000),(($D$14-$D$13)*$D$15*3.79*0.035/0.57/1000)))&lt;&gt;0,IF($D$5="Campden tablets","Campden tablets (0.44-g format)",""),"")</f>
      </c>
      <c r="E20" s="29"/>
      <c r="F20" s="29"/>
      <c r="G20" s="46">
        <f>IF($D$5="Campden tablets",IF(D6&lt;&gt;0,(IF(((ROUND(($C$20*0.44*0.57*1000/($D$15*(IF($E$15="gallons",3.79,1)))),0)+$D$13)&lt;&gt;$D$14),"(see Note 2)","")),""),"")</f>
      </c>
      <c r="H20" s="30"/>
    </row>
    <row r="21" spans="1:8" ht="12">
      <c r="A21" s="1"/>
      <c r="B21" s="2"/>
      <c r="C21" s="49">
        <f>IF((IF($E$15="liters",(($D$14-$D$13)*$D$15/0.57/1000),(($D$14-$D$13)*$D$15*0.035/0.57/1000)))&lt;&gt;0,(IF($D$5="10% sulfite solution",IF($E$15="liters",(IF($E$15="liters",(($D$14-$D$13)*$D$15*10/0.57/1000),(($D$14-$D$13)*$D$15*3.79*10/0.57/1000))),(IF($E$15="liters",(($D$14-$D$13)*$D$15*10/0.57/1000),(($D$14-$D$13)*$D$15*3.79*10/0.57/1000)))*0.034),"")),"")</f>
        <v>6.333333333333334</v>
      </c>
      <c r="D21" s="29" t="str">
        <f>IF($C$21&lt;&gt;"",IF($E$15="liters","mL","fl oz"),"")</f>
        <v>mL</v>
      </c>
      <c r="E21" s="28" t="str">
        <f>IF((IF($E$15="liters",(($D$14-$D$13)*$D$15/0.57/1000),(($D$14-$D$13)*$D$15*3.79*0.035/0.57/1000)))&lt;&gt;0,(IF($D$5="10% sulfite solution","of 10% sulfite solution","")),"")</f>
        <v>of 10% sulfite solution</v>
      </c>
      <c r="F21" s="29"/>
      <c r="G21" s="2"/>
      <c r="H21" s="4"/>
    </row>
    <row r="22" spans="1:8" ht="30" customHeight="1">
      <c r="A22" s="1"/>
      <c r="B22" s="2"/>
      <c r="C22" s="2"/>
      <c r="D22" s="2"/>
      <c r="E22" s="2"/>
      <c r="F22" s="2"/>
      <c r="G22" s="2"/>
      <c r="H22" s="4"/>
    </row>
    <row r="23" spans="1:8" s="34" customFormat="1" ht="12.75" customHeight="1">
      <c r="A23" s="31" t="s">
        <v>17</v>
      </c>
      <c r="B23" s="32"/>
      <c r="C23" s="32"/>
      <c r="D23" s="32"/>
      <c r="E23" s="32"/>
      <c r="F23" s="32"/>
      <c r="G23" s="32"/>
      <c r="H23" s="33"/>
    </row>
    <row r="24" spans="1:8" s="34" customFormat="1" ht="12">
      <c r="A24" s="35" t="str">
        <f>IF($G$12&lt;&gt;"","1. The recommended level of free SO2 for this type of wine and pH is:","")</f>
        <v>1. The recommended level of free SO2 for this type of wine and pH is:</v>
      </c>
      <c r="B24" s="32"/>
      <c r="C24" s="32"/>
      <c r="D24" s="32"/>
      <c r="E24" s="32"/>
      <c r="F24" s="32"/>
      <c r="G24" s="36">
        <f>IF($G$12&lt;&gt;"",(IF($D$11="red",IF($D$12&lt;&gt;0,(($D$12-3)*100),"--------"),(IF($D$11="white",IF($D$12&lt;&gt;0,(($D$12-3)*100+10),"--------"),"error")))),"")</f>
        <v>50</v>
      </c>
      <c r="H24" s="33" t="str">
        <f>IF($G$12&lt;&gt;"","ppm","")</f>
        <v>ppm</v>
      </c>
    </row>
    <row r="25" spans="1:8" s="34" customFormat="1" ht="12">
      <c r="A25" s="37" t="str">
        <f>IF($G$12&lt;&gt;"","    Redo the calculation using this value for desired free SO2 level, if required.","")</f>
        <v>    Redo the calculation using this value for desired free SO2 level, if required.</v>
      </c>
      <c r="B25" s="32"/>
      <c r="C25" s="32"/>
      <c r="D25" s="32"/>
      <c r="E25" s="32"/>
      <c r="F25" s="32"/>
      <c r="G25" s="36"/>
      <c r="H25" s="33"/>
    </row>
    <row r="26" spans="1:8" s="34" customFormat="1" ht="12">
      <c r="A26" s="37">
        <f>IF($D$5="Campden tablets",IF($G$20&lt;&gt;"","2. This will provide a free SO2 level of approx.:",""),"")</f>
      </c>
      <c r="B26" s="32"/>
      <c r="C26" s="32"/>
      <c r="D26" s="32"/>
      <c r="E26" s="38">
        <f>IF($A$26&lt;&gt;"",((ROUND(($C$20*0.44*0.57*1000/($D$15*(IF($E$15="gallons",3.79,1)))),0))+$D$13),"")</f>
      </c>
      <c r="F26" s="32">
        <f>IF($A$26&lt;&gt;"","ppm","")</f>
      </c>
      <c r="G26" s="32"/>
      <c r="H26" s="33"/>
    </row>
    <row r="27" spans="1:8" s="34" customFormat="1" ht="12">
      <c r="A27" s="37">
        <f>IF($A$26&lt;&gt;"","    This is because it is difficult to accurately split tablets smaller than quarter portions.","")</f>
      </c>
      <c r="B27" s="32"/>
      <c r="C27" s="32"/>
      <c r="D27" s="32"/>
      <c r="E27" s="38"/>
      <c r="F27" s="32"/>
      <c r="G27" s="32"/>
      <c r="H27" s="33"/>
    </row>
    <row r="28" spans="1:8" s="34" customFormat="1" ht="12.75" thickBot="1">
      <c r="A28" s="39">
        <f>IF($A$26&lt;&gt;"","    You should consider using one of the other two methods for more accurate results.","")</f>
      </c>
      <c r="B28" s="40"/>
      <c r="C28" s="40"/>
      <c r="D28" s="40"/>
      <c r="E28" s="41"/>
      <c r="F28" s="40"/>
      <c r="G28" s="40"/>
      <c r="H28" s="42"/>
    </row>
    <row r="30" ht="12">
      <c r="D30" s="43"/>
    </row>
  </sheetData>
  <sheetProtection password="C109" sheet="1" objects="1" scenarios="1"/>
  <mergeCells count="6">
    <mergeCell ref="A14:C14"/>
    <mergeCell ref="A15:C15"/>
    <mergeCell ref="D5:E5"/>
    <mergeCell ref="A11:C11"/>
    <mergeCell ref="A12:C12"/>
    <mergeCell ref="A13:C13"/>
  </mergeCells>
  <dataValidations count="7">
    <dataValidation type="list" allowBlank="1" showErrorMessage="1" promptTitle="Select a method of addition." prompt="Choose one." sqref="D5">
      <formula1>$B$6:$B$8</formula1>
    </dataValidation>
    <dataValidation type="list" allowBlank="1" showInputMessage="1" showErrorMessage="1" sqref="D11">
      <formula1>$G$6:$G$7</formula1>
    </dataValidation>
    <dataValidation type="decimal" allowBlank="1" showInputMessage="1" showErrorMessage="1" errorTitle="Invalid pH value." error="Please enter a pH value greater than 3.0 but less than 4.2." sqref="D12">
      <formula1>3.01</formula1>
      <formula2>4.2</formula2>
    </dataValidation>
    <dataValidation type="whole" operator="greaterThanOrEqual" allowBlank="1" showInputMessage="1" showErrorMessage="1" errorTitle="Invalid free SO2 value." error="Please enter a whole number greater than 0." sqref="D13">
      <formula1>0</formula1>
    </dataValidation>
    <dataValidation type="whole" operator="greaterThanOrEqual" allowBlank="1" showInputMessage="1" showErrorMessage="1" errorTitle="Invalid free SO2 level." error="Please enter a whole number greater than the current free SO2 level." sqref="D14">
      <formula1>D13</formula1>
    </dataValidation>
    <dataValidation type="decimal" operator="greaterThanOrEqual" allowBlank="1" showInputMessage="1" showErrorMessage="1" errorTitle="Invalid value for volume." error="Please enter volume in liters or gallons." sqref="D15">
      <formula1>0</formula1>
    </dataValidation>
    <dataValidation type="list" allowBlank="1" showInputMessage="1" showErrorMessage="1" sqref="E15">
      <formula1>$H$6:$H$7</formula1>
    </dataValidation>
  </dataValidation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BroadSoft,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Pambianchi</dc:creator>
  <cp:keywords/>
  <dc:description/>
  <cp:lastModifiedBy>Gary Alvey</cp:lastModifiedBy>
  <cp:lastPrinted>2005-11-23T07:07:52Z</cp:lastPrinted>
  <dcterms:created xsi:type="dcterms:W3CDTF">2001-08-02T15:49:53Z</dcterms:created>
  <dcterms:modified xsi:type="dcterms:W3CDTF">2009-02-24T19:18:43Z</dcterms:modified>
  <cp:category/>
  <cp:version/>
  <cp:contentType/>
  <cp:contentStatus/>
</cp:coreProperties>
</file>